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utmingwong/Desktop/"/>
    </mc:Choice>
  </mc:AlternateContent>
  <xr:revisionPtr revIDLastSave="0" documentId="13_ncr:1_{9CFE0E14-84B8-B948-B08C-56D8E88AC6E8}" xr6:coauthVersionLast="47" xr6:coauthVersionMax="47" xr10:uidLastSave="{00000000-0000-0000-0000-000000000000}"/>
  <bookViews>
    <workbookView xWindow="5780" yWindow="3220" windowWidth="27640" windowHeight="16940" xr2:uid="{68BCAB97-D0D8-F14C-8CD8-41BEB104C652}"/>
  </bookViews>
  <sheets>
    <sheet name="Sheet1" sheetId="1" r:id="rId1"/>
  </sheets>
  <definedNames>
    <definedName name="solver_adj" localSheetId="0" hidden="1">Sheet1!$B$7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itr" localSheetId="0" hidden="1">2147483647</definedName>
    <definedName name="solver_lin" localSheetId="0" hidden="1">2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0</definedName>
    <definedName name="solver_opt" localSheetId="0" hidden="1">Sheet1!$B$15</definedName>
    <definedName name="solver_pre" localSheetId="0" hidden="1">0.000001</definedName>
    <definedName name="solver_rbv" localSheetId="0" hidden="1">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3</definedName>
    <definedName name="solver_val" localSheetId="0" hidden="1">0</definedName>
    <definedName name="solver_ver" localSheetId="0" hidden="1">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8" i="1" l="1"/>
  <c r="J26" i="1"/>
  <c r="H22" i="1"/>
  <c r="B12" i="1"/>
  <c r="B13" i="1" l="1"/>
  <c r="I8" i="1"/>
  <c r="N26" i="1"/>
  <c r="K26" i="1"/>
  <c r="J30" i="1"/>
  <c r="L26" i="1"/>
  <c r="J27" i="1"/>
  <c r="M26" i="1"/>
  <c r="J29" i="1"/>
  <c r="J31" i="1"/>
  <c r="J28" i="1"/>
  <c r="J12" i="1"/>
  <c r="K12" i="1" s="1"/>
  <c r="J8" i="1" l="1"/>
  <c r="H12" i="1"/>
  <c r="I12" i="1" s="1"/>
  <c r="H10" i="1"/>
  <c r="K10" i="1" s="1"/>
  <c r="J10" i="1"/>
  <c r="E6" i="1" s="1"/>
  <c r="N28" i="1"/>
  <c r="L28" i="1"/>
  <c r="K28" i="1"/>
  <c r="M28" i="1"/>
  <c r="M27" i="1"/>
  <c r="N27" i="1"/>
  <c r="K27" i="1"/>
  <c r="L27" i="1"/>
  <c r="K30" i="1"/>
  <c r="N30" i="1"/>
  <c r="L30" i="1"/>
  <c r="M30" i="1"/>
  <c r="N29" i="1"/>
  <c r="K29" i="1"/>
  <c r="L29" i="1"/>
  <c r="M29" i="1"/>
  <c r="M31" i="1"/>
  <c r="N31" i="1"/>
  <c r="K31" i="1"/>
  <c r="L31" i="1"/>
  <c r="E9" i="1" l="1"/>
  <c r="E8" i="1"/>
  <c r="I10" i="1"/>
  <c r="L10" i="1"/>
  <c r="M10" i="1"/>
  <c r="F6" i="1"/>
  <c r="A17" i="1" l="1"/>
  <c r="B15" i="1" s="1"/>
  <c r="E10" i="1"/>
  <c r="E7" i="1"/>
  <c r="F10" i="1"/>
  <c r="B17" i="1"/>
  <c r="F7" i="1"/>
</calcChain>
</file>

<file path=xl/sharedStrings.xml><?xml version="1.0" encoding="utf-8"?>
<sst xmlns="http://schemas.openxmlformats.org/spreadsheetml/2006/main" count="52" uniqueCount="49">
  <si>
    <t>Inputs</t>
  </si>
  <si>
    <t>Greeks</t>
  </si>
  <si>
    <t>Spot Price</t>
  </si>
  <si>
    <t>Call</t>
  </si>
  <si>
    <t>Put</t>
  </si>
  <si>
    <t>ln(S/X)</t>
  </si>
  <si>
    <t>t((r-q+(σ^2)/2)</t>
  </si>
  <si>
    <t>σ*sqrt(t)</t>
  </si>
  <si>
    <t>Strike Price</t>
  </si>
  <si>
    <t>Delta</t>
  </si>
  <si>
    <t>Volatility (implied)</t>
  </si>
  <si>
    <t>Theta</t>
  </si>
  <si>
    <t>d1</t>
  </si>
  <si>
    <t>d2</t>
  </si>
  <si>
    <t>N(d1)</t>
  </si>
  <si>
    <t>N(-d1)</t>
  </si>
  <si>
    <t>N(d2)</t>
  </si>
  <si>
    <t>N(-d2)</t>
  </si>
  <si>
    <t>Risk-Free Interest Rate</t>
  </si>
  <si>
    <t>Gamma</t>
  </si>
  <si>
    <t>Dividend Yield</t>
  </si>
  <si>
    <t>Vega</t>
  </si>
  <si>
    <t>e^(-rt)</t>
  </si>
  <si>
    <t>Xe^(-rt)</t>
  </si>
  <si>
    <t>e^(-qt)</t>
  </si>
  <si>
    <t>Se^(-qt)</t>
  </si>
  <si>
    <t>Expiry Date</t>
  </si>
  <si>
    <t>Rho</t>
  </si>
  <si>
    <t>Observed Option Price</t>
  </si>
  <si>
    <t>Days to exp</t>
  </si>
  <si>
    <t>Time to Maturity</t>
  </si>
  <si>
    <t>Call/Put</t>
  </si>
  <si>
    <t>Difference^2</t>
  </si>
  <si>
    <t>Call Price (Model)</t>
  </si>
  <si>
    <t>Put Price (Model)</t>
  </si>
  <si>
    <t>Stock Price:</t>
  </si>
  <si>
    <t>Implied Volatility Assessment</t>
  </si>
  <si>
    <t>1 Std Dev = 68.27%</t>
  </si>
  <si>
    <t>2 Std Dev = 95.45%</t>
  </si>
  <si>
    <t>Timeframe</t>
  </si>
  <si>
    <t>Implied Volatility</t>
  </si>
  <si>
    <t>Lower Bound</t>
  </si>
  <si>
    <t>Upper Bound</t>
  </si>
  <si>
    <t>Annual</t>
  </si>
  <si>
    <t>Quarterly</t>
  </si>
  <si>
    <t>Monthly</t>
  </si>
  <si>
    <t>Weekly</t>
  </si>
  <si>
    <t>Daily</t>
  </si>
  <si>
    <t>Option Time Horizon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</si>
</sst>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0"/>
  </numFmts>
  <fonts count="1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rgb="FFFF0000"/>
      <name val="Arial"/>
      <family val="2"/>
    </font>
    <font>
      <b/>
      <sz val="10"/>
      <name val="Arial"/>
      <family val="2"/>
    </font>
    <font>
      <sz val="10"/>
      <color rgb="FFFF0000"/>
      <name val="Arial"/>
      <family val="2"/>
    </font>
    <font>
      <sz val="8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5" fillId="0" borderId="0"/>
  </cellStyleXfs>
  <cellXfs count="77">
    <xf numFmtId="0" fontId="0" fillId="0" borderId="0" xfId="0"/>
    <xf numFmtId="0" fontId="1" fillId="3" borderId="0" xfId="1" applyFont="1" applyFill="1" applyAlignment="1" applyProtection="1">
      <alignment vertical="center"/>
      <protection hidden="1"/>
    </xf>
    <xf numFmtId="0" fontId="3" fillId="3" borderId="0" xfId="1" applyFont="1" applyFill="1" applyProtection="1">
      <protection hidden="1"/>
    </xf>
    <xf numFmtId="0" fontId="2" fillId="2" borderId="0" xfId="1" applyFill="1"/>
    <xf numFmtId="0" fontId="4" fillId="2" borderId="0" xfId="1" applyFont="1" applyFill="1" applyAlignment="1">
      <alignment horizontal="center" vertical="center"/>
    </xf>
    <xf numFmtId="0" fontId="3" fillId="2" borderId="0" xfId="1" applyFont="1" applyFill="1" applyAlignment="1">
      <alignment horizontal="center"/>
    </xf>
    <xf numFmtId="0" fontId="3" fillId="3" borderId="0" xfId="1" applyFont="1" applyFill="1" applyAlignment="1" applyProtection="1">
      <alignment horizontal="center"/>
      <protection hidden="1"/>
    </xf>
    <xf numFmtId="0" fontId="4" fillId="4" borderId="2" xfId="1" applyFont="1" applyFill="1" applyBorder="1" applyAlignment="1">
      <alignment horizontal="center" vertical="center"/>
    </xf>
    <xf numFmtId="0" fontId="4" fillId="4" borderId="3" xfId="1" applyFont="1" applyFill="1" applyBorder="1" applyAlignment="1">
      <alignment horizontal="center" vertical="center"/>
    </xf>
    <xf numFmtId="0" fontId="4" fillId="5" borderId="2" xfId="1" applyFont="1" applyFill="1" applyBorder="1" applyAlignment="1">
      <alignment horizontal="center" vertical="center"/>
    </xf>
    <xf numFmtId="0" fontId="4" fillId="5" borderId="1" xfId="1" applyFont="1" applyFill="1" applyBorder="1" applyAlignment="1">
      <alignment horizontal="center" vertical="center"/>
    </xf>
    <xf numFmtId="0" fontId="4" fillId="5" borderId="3" xfId="1" applyFont="1" applyFill="1" applyBorder="1" applyAlignment="1">
      <alignment horizontal="center" vertical="center"/>
    </xf>
    <xf numFmtId="0" fontId="4" fillId="4" borderId="4" xfId="1" applyFont="1" applyFill="1" applyBorder="1" applyAlignment="1">
      <alignment horizontal="center" vertical="center"/>
    </xf>
    <xf numFmtId="0" fontId="4" fillId="4" borderId="5" xfId="1" applyFont="1" applyFill="1" applyBorder="1" applyAlignment="1">
      <alignment horizontal="center" vertical="center"/>
    </xf>
    <xf numFmtId="0" fontId="4" fillId="5" borderId="4" xfId="1" applyFont="1" applyFill="1" applyBorder="1" applyAlignment="1">
      <alignment horizontal="center" vertical="center"/>
    </xf>
    <xf numFmtId="0" fontId="4" fillId="5" borderId="6" xfId="1" applyFont="1" applyFill="1" applyBorder="1" applyAlignment="1">
      <alignment horizontal="center" vertical="center"/>
    </xf>
    <xf numFmtId="0" fontId="4" fillId="5" borderId="5" xfId="1" applyFont="1" applyFill="1" applyBorder="1" applyAlignment="1">
      <alignment horizontal="center" vertical="center"/>
    </xf>
    <xf numFmtId="0" fontId="6" fillId="4" borderId="2" xfId="2" applyFont="1" applyFill="1" applyBorder="1" applyAlignment="1">
      <alignment vertical="center"/>
    </xf>
    <xf numFmtId="4" fontId="5" fillId="6" borderId="3" xfId="2" applyNumberFormat="1" applyFill="1" applyBorder="1" applyProtection="1">
      <protection locked="0"/>
    </xf>
    <xf numFmtId="0" fontId="2" fillId="5" borderId="2" xfId="1" applyFill="1" applyBorder="1"/>
    <xf numFmtId="0" fontId="2" fillId="5" borderId="1" xfId="1" applyFill="1" applyBorder="1"/>
    <xf numFmtId="0" fontId="2" fillId="5" borderId="3" xfId="1" applyFill="1" applyBorder="1"/>
    <xf numFmtId="0" fontId="2" fillId="3" borderId="0" xfId="1" applyFill="1"/>
    <xf numFmtId="0" fontId="2" fillId="3" borderId="0" xfId="1" applyFill="1" applyProtection="1">
      <protection hidden="1"/>
    </xf>
    <xf numFmtId="0" fontId="5" fillId="3" borderId="0" xfId="2" applyFill="1" applyAlignment="1" applyProtection="1">
      <alignment vertical="center"/>
      <protection hidden="1"/>
    </xf>
    <xf numFmtId="0" fontId="6" fillId="4" borderId="7" xfId="2" applyFont="1" applyFill="1" applyBorder="1" applyAlignment="1">
      <alignment vertical="center"/>
    </xf>
    <xf numFmtId="4" fontId="5" fillId="6" borderId="8" xfId="2" applyNumberFormat="1" applyFill="1" applyBorder="1" applyProtection="1">
      <protection locked="0"/>
    </xf>
    <xf numFmtId="0" fontId="5" fillId="2" borderId="0" xfId="2" applyFill="1" applyAlignment="1">
      <alignment vertical="center"/>
    </xf>
    <xf numFmtId="0" fontId="5" fillId="5" borderId="7" xfId="2" applyFill="1" applyBorder="1"/>
    <xf numFmtId="164" fontId="2" fillId="5" borderId="0" xfId="1" applyNumberFormat="1" applyFill="1"/>
    <xf numFmtId="164" fontId="2" fillId="5" borderId="8" xfId="1" applyNumberFormat="1" applyFill="1" applyBorder="1"/>
    <xf numFmtId="10" fontId="5" fillId="7" borderId="9" xfId="2" applyNumberFormat="1" applyFill="1" applyBorder="1" applyProtection="1">
      <protection locked="0"/>
    </xf>
    <xf numFmtId="10" fontId="7" fillId="2" borderId="0" xfId="2" applyNumberFormat="1" applyFont="1" applyFill="1"/>
    <xf numFmtId="0" fontId="8" fillId="3" borderId="0" xfId="2" applyFont="1" applyFill="1" applyAlignment="1" applyProtection="1">
      <alignment vertical="center"/>
      <protection hidden="1"/>
    </xf>
    <xf numFmtId="10" fontId="5" fillId="6" borderId="8" xfId="2" applyNumberFormat="1" applyFill="1" applyBorder="1" applyProtection="1">
      <protection locked="0"/>
    </xf>
    <xf numFmtId="15" fontId="0" fillId="6" borderId="8" xfId="2" applyNumberFormat="1" applyFont="1" applyFill="1" applyBorder="1" applyProtection="1">
      <protection locked="0"/>
    </xf>
    <xf numFmtId="0" fontId="7" fillId="8" borderId="7" xfId="2" applyFont="1" applyFill="1" applyBorder="1" applyAlignment="1">
      <alignment vertical="center"/>
    </xf>
    <xf numFmtId="2" fontId="5" fillId="6" borderId="8" xfId="2" applyNumberFormat="1" applyFill="1" applyBorder="1" applyProtection="1">
      <protection locked="0"/>
    </xf>
    <xf numFmtId="0" fontId="5" fillId="4" borderId="7" xfId="2" applyFill="1" applyBorder="1" applyAlignment="1">
      <alignment horizontal="left" vertical="center"/>
    </xf>
    <xf numFmtId="2" fontId="5" fillId="4" borderId="8" xfId="2" applyNumberFormat="1" applyFill="1" applyBorder="1"/>
    <xf numFmtId="0" fontId="2" fillId="5" borderId="7" xfId="1" applyFill="1" applyBorder="1"/>
    <xf numFmtId="0" fontId="2" fillId="5" borderId="0" xfId="1" applyFill="1"/>
    <xf numFmtId="0" fontId="2" fillId="5" borderId="8" xfId="1" applyFill="1" applyBorder="1"/>
    <xf numFmtId="0" fontId="5" fillId="4" borderId="7" xfId="2" applyFill="1" applyBorder="1" applyAlignment="1">
      <alignment vertical="center"/>
    </xf>
    <xf numFmtId="165" fontId="5" fillId="4" borderId="8" xfId="2" applyNumberFormat="1" applyFill="1" applyBorder="1"/>
    <xf numFmtId="0" fontId="2" fillId="4" borderId="4" xfId="1" applyFill="1" applyBorder="1"/>
    <xf numFmtId="165" fontId="5" fillId="6" borderId="5" xfId="2" applyNumberFormat="1" applyFill="1" applyBorder="1" applyProtection="1">
      <protection locked="0"/>
    </xf>
    <xf numFmtId="0" fontId="2" fillId="5" borderId="4" xfId="1" applyFill="1" applyBorder="1"/>
    <xf numFmtId="0" fontId="2" fillId="5" borderId="6" xfId="1" applyFill="1" applyBorder="1"/>
    <xf numFmtId="0" fontId="2" fillId="5" borderId="5" xfId="1" applyFill="1" applyBorder="1"/>
    <xf numFmtId="0" fontId="2" fillId="9" borderId="0" xfId="1" applyFill="1"/>
    <xf numFmtId="165" fontId="9" fillId="9" borderId="0" xfId="1" applyNumberFormat="1" applyFont="1" applyFill="1"/>
    <xf numFmtId="0" fontId="7" fillId="8" borderId="0" xfId="2" applyFont="1" applyFill="1" applyAlignment="1">
      <alignment vertical="center"/>
    </xf>
    <xf numFmtId="165" fontId="2" fillId="9" borderId="0" xfId="1" applyNumberFormat="1" applyFill="1"/>
    <xf numFmtId="0" fontId="4" fillId="3" borderId="10" xfId="1" applyFont="1" applyFill="1" applyBorder="1"/>
    <xf numFmtId="0" fontId="10" fillId="3" borderId="12" xfId="1" applyFont="1" applyFill="1" applyBorder="1"/>
    <xf numFmtId="0" fontId="2" fillId="3" borderId="13" xfId="1" applyFill="1" applyBorder="1"/>
    <xf numFmtId="0" fontId="4" fillId="3" borderId="10" xfId="1" applyFont="1" applyFill="1" applyBorder="1" applyAlignment="1">
      <alignment horizontal="center"/>
    </xf>
    <xf numFmtId="0" fontId="4" fillId="3" borderId="11" xfId="1" applyFont="1" applyFill="1" applyBorder="1" applyAlignment="1">
      <alignment horizontal="center"/>
    </xf>
    <xf numFmtId="0" fontId="11" fillId="3" borderId="12" xfId="1" applyFont="1" applyFill="1" applyBorder="1"/>
    <xf numFmtId="0" fontId="11" fillId="3" borderId="13" xfId="1" applyFont="1" applyFill="1" applyBorder="1"/>
    <xf numFmtId="0" fontId="11" fillId="3" borderId="14" xfId="1" applyFont="1" applyFill="1" applyBorder="1"/>
    <xf numFmtId="0" fontId="2" fillId="3" borderId="12" xfId="1" applyFill="1" applyBorder="1"/>
    <xf numFmtId="10" fontId="2" fillId="3" borderId="13" xfId="1" applyNumberFormat="1" applyFill="1" applyBorder="1"/>
    <xf numFmtId="2" fontId="2" fillId="3" borderId="12" xfId="1" applyNumberFormat="1" applyFill="1" applyBorder="1"/>
    <xf numFmtId="2" fontId="2" fillId="3" borderId="14" xfId="1" applyNumberFormat="1" applyFill="1" applyBorder="1"/>
    <xf numFmtId="0" fontId="2" fillId="3" borderId="15" xfId="1" applyFill="1" applyBorder="1"/>
    <xf numFmtId="10" fontId="2" fillId="3" borderId="0" xfId="1" applyNumberFormat="1" applyFill="1" applyProtection="1">
      <protection hidden="1"/>
    </xf>
    <xf numFmtId="2" fontId="2" fillId="3" borderId="15" xfId="1" applyNumberFormat="1" applyFill="1" applyBorder="1"/>
    <xf numFmtId="2" fontId="2" fillId="3" borderId="16" xfId="1" applyNumberFormat="1" applyFill="1" applyBorder="1"/>
    <xf numFmtId="0" fontId="2" fillId="3" borderId="15" xfId="1" applyFill="1" applyBorder="1" applyProtection="1">
      <protection hidden="1"/>
    </xf>
    <xf numFmtId="0" fontId="2" fillId="3" borderId="17" xfId="1" applyFill="1" applyBorder="1" applyProtection="1">
      <protection hidden="1"/>
    </xf>
    <xf numFmtId="0" fontId="2" fillId="3" borderId="18" xfId="1" applyFill="1" applyBorder="1" applyProtection="1">
      <protection hidden="1"/>
    </xf>
    <xf numFmtId="10" fontId="2" fillId="3" borderId="18" xfId="1" applyNumberFormat="1" applyFill="1" applyBorder="1" applyProtection="1">
      <protection hidden="1"/>
    </xf>
    <xf numFmtId="2" fontId="2" fillId="3" borderId="17" xfId="1" applyNumberFormat="1" applyFill="1" applyBorder="1"/>
    <xf numFmtId="2" fontId="2" fillId="3" borderId="19" xfId="1" applyNumberFormat="1" applyFill="1" applyBorder="1"/>
    <xf numFmtId="4" fontId="2" fillId="3" borderId="11" xfId="1" applyNumberFormat="1" applyFill="1" applyBorder="1"/>
  </cellXfs>
  <cellStyles count="3">
    <cellStyle name="Normal" xfId="0" builtinId="0"/>
    <cellStyle name="Normal 2 2" xfId="2" xr:uid="{68A10839-274A-274E-8852-A7C1AD6A6B1F}"/>
    <cellStyle name="Normal 4" xfId="1" xr:uid="{D1D659E4-C012-174A-B70D-3FF1EFBDD81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B988C-1493-1742-8B67-0EA654ECF11D}">
  <dimension ref="A1:N31"/>
  <sheetViews>
    <sheetView tabSelected="1" workbookViewId="0">
      <selection activeCell="K20" sqref="K20"/>
    </sheetView>
  </sheetViews>
  <sheetFormatPr baseColWidth="10" defaultRowHeight="16" x14ac:dyDescent="0.2"/>
  <cols>
    <col min="1" max="1" width="20" bestFit="1" customWidth="1"/>
    <col min="2" max="2" width="15" bestFit="1" customWidth="1"/>
    <col min="4" max="6" width="7.1640625" bestFit="1" customWidth="1"/>
    <col min="7" max="7" width="24.33203125" bestFit="1" customWidth="1"/>
    <col min="8" max="9" width="12.6640625" bestFit="1" customWidth="1"/>
    <col min="10" max="10" width="14.33203125" bestFit="1" customWidth="1"/>
    <col min="12" max="13" width="12.1640625" bestFit="1" customWidth="1"/>
    <col min="14" max="14" width="11.1640625" bestFit="1" customWidth="1"/>
  </cols>
  <sheetData>
    <row r="1" spans="1:13" x14ac:dyDescent="0.2">
      <c r="A1" s="4"/>
      <c r="B1" s="4"/>
      <c r="C1" s="5"/>
      <c r="D1" s="5"/>
      <c r="E1" s="5"/>
      <c r="F1" s="5"/>
      <c r="G1" s="6"/>
      <c r="H1" s="1"/>
      <c r="I1" s="1"/>
      <c r="J1" s="1"/>
      <c r="K1" s="1"/>
      <c r="L1" s="1"/>
      <c r="M1" s="1"/>
    </row>
    <row r="2" spans="1:13" x14ac:dyDescent="0.2">
      <c r="A2" s="7" t="s">
        <v>0</v>
      </c>
      <c r="B2" s="8"/>
      <c r="C2" s="5"/>
      <c r="D2" s="9" t="s">
        <v>1</v>
      </c>
      <c r="E2" s="10"/>
      <c r="F2" s="11"/>
      <c r="G2" s="6"/>
      <c r="H2" s="2"/>
      <c r="I2" s="2"/>
      <c r="J2" s="2"/>
      <c r="K2" s="2"/>
      <c r="L2" s="2"/>
      <c r="M2" s="2"/>
    </row>
    <row r="3" spans="1:13" x14ac:dyDescent="0.2">
      <c r="A3" s="12"/>
      <c r="B3" s="13"/>
      <c r="C3" s="5"/>
      <c r="D3" s="14"/>
      <c r="E3" s="15"/>
      <c r="F3" s="16"/>
      <c r="G3" s="6"/>
      <c r="H3" s="6"/>
      <c r="I3" s="6"/>
      <c r="J3" s="6"/>
      <c r="K3" s="6"/>
      <c r="L3" s="6"/>
      <c r="M3" s="6"/>
    </row>
    <row r="4" spans="1:13" x14ac:dyDescent="0.2">
      <c r="A4" s="4"/>
      <c r="B4" s="4"/>
      <c r="C4" s="5"/>
      <c r="D4" s="5"/>
      <c r="E4" s="5"/>
      <c r="F4" s="5"/>
      <c r="G4" s="6"/>
      <c r="H4" s="2"/>
      <c r="I4" s="2"/>
      <c r="J4" s="2"/>
      <c r="K4" s="2"/>
      <c r="L4" s="2"/>
      <c r="M4" s="2"/>
    </row>
    <row r="5" spans="1:13" x14ac:dyDescent="0.2">
      <c r="A5" s="17" t="s">
        <v>2</v>
      </c>
      <c r="B5" s="18">
        <v>4500</v>
      </c>
      <c r="C5" s="3"/>
      <c r="D5" s="19"/>
      <c r="E5" s="20" t="s">
        <v>3</v>
      </c>
      <c r="F5" s="21" t="s">
        <v>4</v>
      </c>
      <c r="G5" s="23"/>
      <c r="H5" s="2"/>
      <c r="I5" s="2"/>
      <c r="J5" s="2"/>
      <c r="K5" s="2"/>
      <c r="L5" s="2"/>
      <c r="M5" s="2"/>
    </row>
    <row r="6" spans="1:13" x14ac:dyDescent="0.2">
      <c r="A6" s="25" t="s">
        <v>8</v>
      </c>
      <c r="B6" s="26">
        <v>4500</v>
      </c>
      <c r="C6" s="27"/>
      <c r="D6" s="28" t="s">
        <v>9</v>
      </c>
      <c r="E6" s="29">
        <f ca="1">J10*J12</f>
        <v>0.58591451673168127</v>
      </c>
      <c r="F6" s="30">
        <f ca="1">(J10-1)*J12</f>
        <v>-0.41408548326831873</v>
      </c>
      <c r="G6" s="23"/>
      <c r="H6" s="6"/>
      <c r="I6" s="6"/>
      <c r="J6" s="6"/>
      <c r="K6" s="6"/>
      <c r="L6" s="6"/>
      <c r="M6" s="6"/>
    </row>
    <row r="7" spans="1:13" x14ac:dyDescent="0.2">
      <c r="A7" s="25" t="s">
        <v>10</v>
      </c>
      <c r="B7" s="31">
        <v>5.5590512793052091E-2</v>
      </c>
      <c r="C7" s="32"/>
      <c r="D7" s="28" t="s">
        <v>11</v>
      </c>
      <c r="E7" s="29">
        <f ca="1">(-(B5*EXP(-1*POWER(H10,2)/2)/SQRT(2*PI())*B7*J12/
(2*SQRT(B13)))-(B8*I12*L10)+(B9*B5*J10*J12))/
365</f>
        <v>-0.92750021111036685</v>
      </c>
      <c r="F7" s="30">
        <f ca="1">(-(B5*EXP(-1*POWER(H10,2)/2)/SQRT(2*PI())*B7*J12/
(2*SQRT(B13)))+(B8*I12*M10)-(B9*B5*K10*J12))/
365</f>
        <v>-0.31274841574244</v>
      </c>
      <c r="G7" s="23"/>
      <c r="H7" s="24" t="s">
        <v>5</v>
      </c>
      <c r="I7" s="24" t="s">
        <v>6</v>
      </c>
      <c r="J7" s="24" t="s">
        <v>7</v>
      </c>
      <c r="K7" s="23"/>
      <c r="L7" s="23"/>
      <c r="M7" s="23"/>
    </row>
    <row r="8" spans="1:13" x14ac:dyDescent="0.2">
      <c r="A8" s="25" t="s">
        <v>18</v>
      </c>
      <c r="B8" s="34">
        <v>0.05</v>
      </c>
      <c r="C8" s="3"/>
      <c r="D8" s="28" t="s">
        <v>19</v>
      </c>
      <c r="E8" s="29">
        <f ca="1">EXP(-1*POWER(H10,2)/2)/SQRT(2*PI())*J12/(B5*J8)</f>
        <v>6.6542412037217486E-3</v>
      </c>
      <c r="F8" s="30"/>
      <c r="G8" s="23"/>
      <c r="H8" s="23">
        <f>LN(B5/B6)</f>
        <v>0</v>
      </c>
      <c r="I8" s="23">
        <f ca="1">(B8-B9+POWER(B7,2)/2)*B13</f>
        <v>2.8243919208929998E-3</v>
      </c>
      <c r="J8" s="23">
        <f ca="1">B7*SQRT(B13)</f>
        <v>1.3012754781039977E-2</v>
      </c>
      <c r="K8" s="23"/>
      <c r="L8" s="23"/>
      <c r="M8" s="23"/>
    </row>
    <row r="9" spans="1:13" x14ac:dyDescent="0.2">
      <c r="A9" s="25" t="s">
        <v>20</v>
      </c>
      <c r="B9" s="34">
        <v>0</v>
      </c>
      <c r="C9" s="3"/>
      <c r="D9" s="28" t="s">
        <v>21</v>
      </c>
      <c r="E9" s="29">
        <f ca="1">EXP(-1*POWER(H10,2)/2)/SQRT(2*PI())*J12*B5*SQRT(B13)/100</f>
        <v>4.104510567376356</v>
      </c>
      <c r="F9" s="30"/>
      <c r="G9" s="23"/>
      <c r="H9" s="24" t="s">
        <v>12</v>
      </c>
      <c r="I9" s="24" t="s">
        <v>13</v>
      </c>
      <c r="J9" s="24" t="s">
        <v>14</v>
      </c>
      <c r="K9" s="33" t="s">
        <v>15</v>
      </c>
      <c r="L9" s="24" t="s">
        <v>16</v>
      </c>
      <c r="M9" s="24" t="s">
        <v>17</v>
      </c>
    </row>
    <row r="10" spans="1:13" x14ac:dyDescent="0.2">
      <c r="A10" s="25" t="s">
        <v>26</v>
      </c>
      <c r="B10" s="35">
        <v>45229</v>
      </c>
      <c r="C10" s="3"/>
      <c r="D10" s="28" t="s">
        <v>27</v>
      </c>
      <c r="E10" s="29">
        <f ca="1">B6*B13*H12*L10/100</f>
        <v>1.4282823723919393</v>
      </c>
      <c r="F10" s="30">
        <f ca="1">-B6*B13*H12*M10/100</f>
        <v>-1.0307248090797687</v>
      </c>
      <c r="G10" s="23"/>
      <c r="H10" s="23">
        <f ca="1">(H8+I8)/J8</f>
        <v>0.21704796320362804</v>
      </c>
      <c r="I10" s="23">
        <f ca="1">H10-J8</f>
        <v>0.20403520842258807</v>
      </c>
      <c r="J10" s="23">
        <f ca="1">_xlfn.NORM.DIST(H10,0,1,TRUE)</f>
        <v>0.58591451673168127</v>
      </c>
      <c r="K10" s="23">
        <f ca="1">_xlfn.NORM.DIST(-H10,0,1,TRUE)</f>
        <v>0.41408548326831868</v>
      </c>
      <c r="L10" s="23">
        <f ca="1">_xlfn.NORM.DIST(I10,0,1,TRUE)</f>
        <v>0.58083700737186006</v>
      </c>
      <c r="M10" s="23">
        <f ca="1">_xlfn.NORM.DIST(-I10,0,1,TRUE)</f>
        <v>0.41916299262813994</v>
      </c>
    </row>
    <row r="11" spans="1:13" x14ac:dyDescent="0.2">
      <c r="A11" s="36" t="s">
        <v>28</v>
      </c>
      <c r="B11" s="37">
        <v>30</v>
      </c>
      <c r="C11" s="3"/>
      <c r="D11" s="28"/>
      <c r="E11" s="29"/>
      <c r="F11" s="30"/>
      <c r="G11" s="23"/>
      <c r="H11" s="24" t="s">
        <v>22</v>
      </c>
      <c r="I11" s="24" t="s">
        <v>23</v>
      </c>
      <c r="J11" s="24" t="s">
        <v>24</v>
      </c>
      <c r="K11" s="24" t="s">
        <v>25</v>
      </c>
      <c r="L11" s="23"/>
      <c r="M11" s="23"/>
    </row>
    <row r="12" spans="1:13" x14ac:dyDescent="0.2">
      <c r="A12" s="38" t="s">
        <v>29</v>
      </c>
      <c r="B12" s="39">
        <f ca="1">B10-TODAY()</f>
        <v>20</v>
      </c>
      <c r="C12" s="3"/>
      <c r="D12" s="40"/>
      <c r="E12" s="41"/>
      <c r="F12" s="42"/>
      <c r="G12" s="23"/>
      <c r="H12" s="23">
        <f ca="1">EXP(-B8*B13)</f>
        <v>0.99726402359685928</v>
      </c>
      <c r="I12" s="23">
        <f ca="1">B6*H12</f>
        <v>4487.6881061858667</v>
      </c>
      <c r="J12" s="23">
        <f ca="1">EXP(-B9*B13)</f>
        <v>1</v>
      </c>
      <c r="K12" s="23">
        <f ca="1">B5*J12</f>
        <v>4500</v>
      </c>
      <c r="L12" s="23"/>
      <c r="M12" s="23"/>
    </row>
    <row r="13" spans="1:13" x14ac:dyDescent="0.2">
      <c r="A13" s="43" t="s">
        <v>30</v>
      </c>
      <c r="B13" s="44">
        <f ca="1">B12/365</f>
        <v>5.4794520547945202E-2</v>
      </c>
      <c r="C13" s="3"/>
      <c r="D13" s="40"/>
      <c r="E13" s="41"/>
      <c r="F13" s="42"/>
      <c r="G13" s="23"/>
      <c r="H13" s="23"/>
      <c r="I13" s="23"/>
      <c r="J13" s="23"/>
      <c r="K13" s="23"/>
      <c r="L13" s="23"/>
      <c r="M13" s="23"/>
    </row>
    <row r="14" spans="1:13" x14ac:dyDescent="0.2">
      <c r="A14" s="45" t="s">
        <v>31</v>
      </c>
      <c r="B14" s="46" t="s">
        <v>3</v>
      </c>
      <c r="C14" s="3"/>
      <c r="D14" s="47"/>
      <c r="E14" s="48"/>
      <c r="F14" s="49"/>
      <c r="G14" s="23"/>
      <c r="H14" s="23"/>
      <c r="I14" s="23"/>
      <c r="J14" s="23"/>
      <c r="K14" s="23"/>
      <c r="L14" s="23"/>
      <c r="M14" s="23"/>
    </row>
    <row r="15" spans="1:13" x14ac:dyDescent="0.2">
      <c r="A15" s="50" t="s">
        <v>32</v>
      </c>
      <c r="B15" s="51">
        <f ca="1">IF(B14="Call",(B11-A17)^2,(B11-B17)^2)</f>
        <v>1.8685936476682469E-11</v>
      </c>
      <c r="C15" s="3"/>
      <c r="D15" s="50"/>
      <c r="E15" s="50"/>
      <c r="F15" s="50"/>
      <c r="G15" s="23"/>
      <c r="H15" s="23"/>
      <c r="I15" s="23"/>
      <c r="J15" s="23"/>
      <c r="K15" s="23"/>
      <c r="L15" s="23"/>
      <c r="M15" s="23"/>
    </row>
    <row r="16" spans="1:13" x14ac:dyDescent="0.2">
      <c r="A16" s="52" t="s">
        <v>33</v>
      </c>
      <c r="B16" s="52" t="s">
        <v>34</v>
      </c>
      <c r="C16" s="3"/>
      <c r="D16" s="50"/>
      <c r="E16" s="50"/>
      <c r="F16" s="50"/>
      <c r="G16" s="23"/>
      <c r="H16" s="23"/>
      <c r="I16" s="23"/>
      <c r="J16" s="23"/>
      <c r="K16" s="23"/>
      <c r="L16" s="23"/>
      <c r="M16" s="23"/>
    </row>
    <row r="17" spans="1:14" x14ac:dyDescent="0.2">
      <c r="A17" s="53">
        <f ca="1">K12*J10-I12*L10</f>
        <v>29.999995677276729</v>
      </c>
      <c r="B17" s="53">
        <f ca="1">I12*M10-K12*K10</f>
        <v>17.688101863143629</v>
      </c>
      <c r="C17" s="3"/>
      <c r="D17" s="50"/>
      <c r="E17" s="50"/>
      <c r="F17" s="50"/>
      <c r="G17" s="23"/>
      <c r="H17" s="23"/>
      <c r="I17" s="23"/>
      <c r="J17" s="23"/>
      <c r="K17" s="23"/>
      <c r="L17" s="23"/>
      <c r="M17" s="23"/>
    </row>
    <row r="21" spans="1:14" ht="17" thickBot="1" x14ac:dyDescent="0.25"/>
    <row r="22" spans="1:14" ht="17" thickBot="1" x14ac:dyDescent="0.25">
      <c r="G22" s="54" t="s">
        <v>35</v>
      </c>
      <c r="H22" s="76">
        <f>B5</f>
        <v>4500</v>
      </c>
      <c r="I22" s="22"/>
      <c r="J22" s="22"/>
      <c r="K22" s="22"/>
      <c r="L22" s="22"/>
      <c r="M22" s="22"/>
      <c r="N22" s="22"/>
    </row>
    <row r="23" spans="1:14" ht="17" thickBot="1" x14ac:dyDescent="0.25">
      <c r="G23" s="22"/>
      <c r="H23" s="22"/>
      <c r="I23" s="22"/>
      <c r="J23" s="22"/>
      <c r="K23" s="22"/>
      <c r="L23" s="22"/>
      <c r="M23" s="22"/>
      <c r="N23" s="22"/>
    </row>
    <row r="24" spans="1:14" ht="17" thickBot="1" x14ac:dyDescent="0.25">
      <c r="G24" s="55" t="s">
        <v>36</v>
      </c>
      <c r="H24" s="56"/>
      <c r="I24" s="56"/>
      <c r="J24" s="56"/>
      <c r="K24" s="57" t="s">
        <v>37</v>
      </c>
      <c r="L24" s="58"/>
      <c r="M24" s="57" t="s">
        <v>38</v>
      </c>
      <c r="N24" s="58"/>
    </row>
    <row r="25" spans="1:14" ht="17" thickBot="1" x14ac:dyDescent="0.25">
      <c r="G25" s="59" t="s">
        <v>39</v>
      </c>
      <c r="H25" s="56"/>
      <c r="I25" s="56"/>
      <c r="J25" s="60" t="s">
        <v>40</v>
      </c>
      <c r="K25" s="59" t="s">
        <v>41</v>
      </c>
      <c r="L25" s="61" t="s">
        <v>42</v>
      </c>
      <c r="M25" s="60" t="s">
        <v>41</v>
      </c>
      <c r="N25" s="61" t="s">
        <v>42</v>
      </c>
    </row>
    <row r="26" spans="1:14" x14ac:dyDescent="0.2">
      <c r="G26" s="62" t="s">
        <v>43</v>
      </c>
      <c r="H26" s="56"/>
      <c r="I26" s="56"/>
      <c r="J26" s="63">
        <f>B7</f>
        <v>5.5590512793052091E-2</v>
      </c>
      <c r="K26" s="64">
        <f>$H$22*(1-J26)</f>
        <v>4249.8426924312662</v>
      </c>
      <c r="L26" s="65">
        <f>$H$22*(1+J26)</f>
        <v>4750.1573075687338</v>
      </c>
      <c r="M26" s="64">
        <f>$H$22*(1-2*J26)</f>
        <v>3999.685384862531</v>
      </c>
      <c r="N26" s="65">
        <f>$H$22*(1+2*J26)</f>
        <v>5000.3146151374685</v>
      </c>
    </row>
    <row r="27" spans="1:14" x14ac:dyDescent="0.2">
      <c r="G27" s="66" t="s">
        <v>44</v>
      </c>
      <c r="H27" s="22"/>
      <c r="I27" s="22"/>
      <c r="J27" s="67">
        <f>J26*SQRT(1/4)</f>
        <v>2.7795256396526045E-2</v>
      </c>
      <c r="K27" s="68">
        <f>$H$22*(1-J27)</f>
        <v>4374.9213462156331</v>
      </c>
      <c r="L27" s="69">
        <f>$H$22*(1+J27)</f>
        <v>4625.0786537843669</v>
      </c>
      <c r="M27" s="68">
        <f>$H$22*(1-2*J27)</f>
        <v>4249.8426924312662</v>
      </c>
      <c r="N27" s="69">
        <f>$H$22*(1+2*J27)</f>
        <v>4750.1573075687338</v>
      </c>
    </row>
    <row r="28" spans="1:14" x14ac:dyDescent="0.2">
      <c r="G28" s="70" t="s">
        <v>45</v>
      </c>
      <c r="H28" s="23"/>
      <c r="I28" s="23"/>
      <c r="J28" s="67">
        <f>J26*SQRT(1/12)</f>
        <v>1.604759876272898E-2</v>
      </c>
      <c r="K28" s="68">
        <f>$H$22*(1-J28)</f>
        <v>4427.7858055677198</v>
      </c>
      <c r="L28" s="69">
        <f>$H$22*(1+J28)</f>
        <v>4572.2141944322802</v>
      </c>
      <c r="M28" s="68">
        <f>$H$22*(1-2*J28)</f>
        <v>4355.5716111354395</v>
      </c>
      <c r="N28" s="69">
        <f>$H$22*(1+2*J28)</f>
        <v>4644.4283888645605</v>
      </c>
    </row>
    <row r="29" spans="1:14" x14ac:dyDescent="0.2">
      <c r="G29" s="70" t="s">
        <v>46</v>
      </c>
      <c r="H29" s="23"/>
      <c r="I29" s="23"/>
      <c r="J29" s="67">
        <f>J26*SQRT(1/52)</f>
        <v>7.7090170886417765E-3</v>
      </c>
      <c r="K29" s="68">
        <f>$H$22*(1-J29)</f>
        <v>4465.3094231011119</v>
      </c>
      <c r="L29" s="69">
        <f>$H$22*(1+J29)</f>
        <v>4534.6905768988881</v>
      </c>
      <c r="M29" s="68">
        <f>$H$22*(1-2*J29)</f>
        <v>4430.6188462022237</v>
      </c>
      <c r="N29" s="69">
        <f>$H$22*(1+2*J29)</f>
        <v>4569.3811537977763</v>
      </c>
    </row>
    <row r="30" spans="1:14" x14ac:dyDescent="0.2">
      <c r="G30" s="70" t="s">
        <v>47</v>
      </c>
      <c r="H30" s="23"/>
      <c r="I30" s="23"/>
      <c r="J30" s="67">
        <f>J26*SQRT(1/365)</f>
        <v>2.909740426494078E-3</v>
      </c>
      <c r="K30" s="68">
        <f>$H$22*(1-J30)</f>
        <v>4486.9061680807763</v>
      </c>
      <c r="L30" s="69">
        <f>$H$22*(1+J30)</f>
        <v>4513.0938319192237</v>
      </c>
      <c r="M30" s="68">
        <f>$H$22*(1-2*J30)</f>
        <v>4473.8123361615535</v>
      </c>
      <c r="N30" s="69">
        <f>$H$22*(1+2*J30)</f>
        <v>4526.1876638384465</v>
      </c>
    </row>
    <row r="31" spans="1:14" ht="17" thickBot="1" x14ac:dyDescent="0.25">
      <c r="G31" s="71" t="s">
        <v>48</v>
      </c>
      <c r="H31" s="72"/>
      <c r="I31" s="72"/>
      <c r="J31" s="73">
        <f ca="1">J26*SQRT(B12/365)</f>
        <v>1.3012754781039977E-2</v>
      </c>
      <c r="K31" s="74">
        <f ca="1">$H$22*(1-J31)</f>
        <v>4441.4426034853195</v>
      </c>
      <c r="L31" s="75">
        <f ca="1">$H$22*(1+J31)</f>
        <v>4558.5573965146796</v>
      </c>
      <c r="M31" s="74">
        <f ca="1">$H$22*(1-2*J31)</f>
        <v>4382.88520697064</v>
      </c>
      <c r="N31" s="75">
        <f ca="1">$H$22*(1+2*J31)</f>
        <v>4617.11479302936</v>
      </c>
    </row>
  </sheetData>
  <mergeCells count="4">
    <mergeCell ref="K24:L24"/>
    <mergeCell ref="M24:N24"/>
    <mergeCell ref="A2:B3"/>
    <mergeCell ref="D2:F3"/>
  </mergeCells>
  <dataValidations count="1">
    <dataValidation type="list" allowBlank="1" showInputMessage="1" showErrorMessage="1" error="Please select &quot;Call&quot; or &quot;Put&quot; from the dropdown menu." sqref="B14" xr:uid="{175A98C4-2BAE-8548-98C6-EA0AAAC735F9}">
      <formula1>"Call, Put"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Lutming Wang</dc:creator>
  <cp:lastModifiedBy>Lutming Wang</cp:lastModifiedBy>
  <dcterms:created xsi:type="dcterms:W3CDTF">2023-10-10T03:48:34Z</dcterms:created>
  <dcterms:modified xsi:type="dcterms:W3CDTF">2023-10-10T16:38:39Z</dcterms:modified>
</cp:coreProperties>
</file>